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ix\Dropbox\INF SS_LT_KF\ITPMF\"/>
    </mc:Choice>
  </mc:AlternateContent>
  <bookViews>
    <workbookView xWindow="360" yWindow="120" windowWidth="10410" windowHeight="7335" activeTab="1"/>
  </bookViews>
  <sheets>
    <sheet name="AlpineRe-BC qualitativ" sheetId="3" r:id="rId1"/>
    <sheet name="AlpineRe-BC quantitativ" sheetId="4" r:id="rId2"/>
    <sheet name="Nutzen" sheetId="5" r:id="rId3"/>
  </sheets>
  <calcPr calcId="152511"/>
</workbook>
</file>

<file path=xl/calcChain.xml><?xml version="1.0" encoding="utf-8"?>
<calcChain xmlns="http://schemas.openxmlformats.org/spreadsheetml/2006/main">
  <c r="D66" i="4" l="1"/>
  <c r="E66" i="4"/>
  <c r="F66" i="4" s="1"/>
  <c r="G66" i="4" s="1"/>
  <c r="H66" i="4" s="1"/>
  <c r="I66" i="4" s="1"/>
  <c r="J66" i="4" s="1"/>
  <c r="K66" i="4" s="1"/>
  <c r="L66" i="4" s="1"/>
  <c r="E44" i="4" l="1"/>
  <c r="L57" i="4" l="1"/>
  <c r="K57" i="4"/>
  <c r="J57" i="4"/>
  <c r="I57" i="4"/>
  <c r="H57" i="4"/>
  <c r="G57" i="4"/>
  <c r="F57" i="4"/>
  <c r="E57" i="4"/>
  <c r="D57" i="4"/>
  <c r="C56" i="4"/>
  <c r="C58" i="4" s="1"/>
  <c r="C62" i="4" s="1"/>
  <c r="B10" i="5"/>
  <c r="B9" i="5"/>
  <c r="B8" i="5"/>
  <c r="B7" i="5"/>
  <c r="B6" i="5"/>
  <c r="B5" i="5"/>
  <c r="B4" i="5"/>
  <c r="B3" i="5"/>
  <c r="E45" i="4"/>
  <c r="D45" i="4"/>
  <c r="C45" i="4"/>
  <c r="D44" i="4"/>
  <c r="C44" i="4"/>
  <c r="G53" i="4"/>
  <c r="F53" i="4"/>
  <c r="E53" i="4"/>
  <c r="D53" i="4"/>
  <c r="L48" i="4"/>
  <c r="K48" i="4"/>
  <c r="J48" i="4"/>
  <c r="I48" i="4"/>
  <c r="H48" i="4"/>
  <c r="G48" i="4"/>
  <c r="F48" i="4"/>
  <c r="E48" i="4"/>
  <c r="D48" i="4"/>
  <c r="L47" i="4"/>
  <c r="K47" i="4"/>
  <c r="J47" i="4"/>
  <c r="I47" i="4"/>
  <c r="H47" i="4"/>
  <c r="G47" i="4"/>
  <c r="F47" i="4"/>
  <c r="E47" i="4"/>
  <c r="D47" i="4"/>
  <c r="C47" i="4"/>
  <c r="L46" i="4"/>
  <c r="K46" i="4"/>
  <c r="J46" i="4"/>
  <c r="I46" i="4"/>
  <c r="H46" i="4"/>
  <c r="G46" i="4"/>
  <c r="F46" i="4"/>
  <c r="E46" i="4"/>
  <c r="D46" i="4"/>
  <c r="C46" i="4"/>
  <c r="E43" i="4"/>
  <c r="D43" i="4"/>
  <c r="C43" i="4"/>
  <c r="E42" i="4"/>
  <c r="D42" i="4"/>
  <c r="C42" i="4"/>
  <c r="D41" i="4"/>
  <c r="C26" i="4"/>
  <c r="J49" i="4" s="1"/>
  <c r="C25" i="4"/>
  <c r="D49" i="4" s="1"/>
  <c r="B14" i="5" l="1"/>
  <c r="B12" i="5"/>
  <c r="B13" i="5" s="1"/>
  <c r="J51" i="4"/>
  <c r="J61" i="4" s="1"/>
  <c r="G49" i="4"/>
  <c r="G51" i="4" s="1"/>
  <c r="G61" i="4" s="1"/>
  <c r="K49" i="4"/>
  <c r="K51" i="4" s="1"/>
  <c r="K61" i="4" s="1"/>
  <c r="H49" i="4"/>
  <c r="H51" i="4" s="1"/>
  <c r="H61" i="4" s="1"/>
  <c r="L49" i="4"/>
  <c r="L51" i="4" s="1"/>
  <c r="L61" i="4" s="1"/>
  <c r="E49" i="4"/>
  <c r="I49" i="4"/>
  <c r="I51" i="4" s="1"/>
  <c r="I61" i="4" s="1"/>
  <c r="C51" i="4"/>
  <c r="C61" i="4" s="1"/>
  <c r="C63" i="4" s="1"/>
  <c r="C64" i="4" s="1"/>
  <c r="F49" i="4"/>
  <c r="F51" i="4" s="1"/>
  <c r="F61" i="4" s="1"/>
  <c r="E51" i="4"/>
  <c r="E61" i="4" s="1"/>
  <c r="D51" i="4"/>
  <c r="D61" i="4" s="1"/>
  <c r="C41" i="4"/>
  <c r="E41" i="4"/>
  <c r="F41" i="4"/>
  <c r="G41" i="4"/>
  <c r="H41" i="4"/>
  <c r="I41" i="4"/>
  <c r="J41" i="4"/>
  <c r="K41" i="4"/>
  <c r="L41" i="4"/>
  <c r="B15" i="5" l="1"/>
  <c r="B17" i="5" s="1"/>
  <c r="B18" i="5" s="1"/>
  <c r="B19" i="5" s="1"/>
  <c r="C14" i="4" s="1"/>
  <c r="L54" i="4" s="1"/>
  <c r="L56" i="4" s="1"/>
  <c r="L58" i="4" s="1"/>
  <c r="L62" i="4" s="1"/>
  <c r="L63" i="4" s="1"/>
  <c r="L64" i="4" s="1"/>
  <c r="F54" i="4" l="1"/>
  <c r="F56" i="4" s="1"/>
  <c r="F58" i="4" s="1"/>
  <c r="F62" i="4" s="1"/>
  <c r="F63" i="4" s="1"/>
  <c r="F64" i="4" s="1"/>
  <c r="D54" i="4"/>
  <c r="D56" i="4" s="1"/>
  <c r="D58" i="4" s="1"/>
  <c r="D62" i="4" s="1"/>
  <c r="D63" i="4" s="1"/>
  <c r="D64" i="4" s="1"/>
  <c r="I54" i="4"/>
  <c r="I56" i="4" s="1"/>
  <c r="I58" i="4" s="1"/>
  <c r="I62" i="4" s="1"/>
  <c r="I63" i="4" s="1"/>
  <c r="I64" i="4" s="1"/>
  <c r="K54" i="4"/>
  <c r="K56" i="4" s="1"/>
  <c r="K58" i="4" s="1"/>
  <c r="K62" i="4" s="1"/>
  <c r="K63" i="4" s="1"/>
  <c r="K64" i="4" s="1"/>
  <c r="J54" i="4"/>
  <c r="J56" i="4" s="1"/>
  <c r="J58" i="4" s="1"/>
  <c r="J62" i="4" s="1"/>
  <c r="J63" i="4" s="1"/>
  <c r="J64" i="4" s="1"/>
  <c r="H54" i="4"/>
  <c r="H56" i="4" s="1"/>
  <c r="H58" i="4" s="1"/>
  <c r="H62" i="4" s="1"/>
  <c r="H63" i="4" s="1"/>
  <c r="H64" i="4" s="1"/>
  <c r="E54" i="4"/>
  <c r="E56" i="4" s="1"/>
  <c r="E58" i="4" s="1"/>
  <c r="E62" i="4" s="1"/>
  <c r="E63" i="4" s="1"/>
  <c r="E64" i="4" s="1"/>
  <c r="G54" i="4"/>
  <c r="G56" i="4" s="1"/>
  <c r="G58" i="4" s="1"/>
  <c r="G62" i="4" s="1"/>
  <c r="G63" i="4" s="1"/>
  <c r="G64" i="4" s="1"/>
  <c r="M64" i="4" l="1"/>
</calcChain>
</file>

<file path=xl/sharedStrings.xml><?xml version="1.0" encoding="utf-8"?>
<sst xmlns="http://schemas.openxmlformats.org/spreadsheetml/2006/main" count="144" uniqueCount="100">
  <si>
    <t>å</t>
  </si>
  <si>
    <t>Nutzenpotenzial einer einheitlichen Datenbasis:</t>
  </si>
  <si>
    <t>Überblick über die Kunden-Datenbasis und die Zusammensetzung des Kundenstammes bekommen/behalten</t>
  </si>
  <si>
    <t xml:space="preserve">Verbesserung der Wirksamkeit und Effizienz der Kundenteams in ihren Prozessen: </t>
  </si>
  <si>
    <t xml:space="preserve">Bessere Entscheidungen, mehr Zeit für die Kundenarbeit </t>
  </si>
  <si>
    <t xml:space="preserve">Höhere Datenqualität, weil Mängel sichtbar werden </t>
  </si>
  <si>
    <t xml:space="preserve">Gemeinsame Datenplattform führt zu mehr Informationsaustausch </t>
  </si>
  <si>
    <t xml:space="preserve">Bessere Analysemöglichkeiten, Messbarkeit betreffs der erbrachten Dienstleistungen (Wie gut sind wir? Wo haben wir noch Potenzial?) </t>
  </si>
  <si>
    <t xml:space="preserve">Abgrenzung: Keine doppelte Datenerfassung </t>
  </si>
  <si>
    <t xml:space="preserve">Einheitliches Datenformat =&gt; Harmonisierung Sprache und Methoden </t>
  </si>
  <si>
    <t>Basis-Daten</t>
  </si>
  <si>
    <t>Kosten interne Mitarbeiter</t>
  </si>
  <si>
    <t>CHF/Tag</t>
  </si>
  <si>
    <t>Kosten Business Consultants</t>
  </si>
  <si>
    <t>Kosten IT Contractors</t>
  </si>
  <si>
    <t>gilt nur für Business Side,</t>
  </si>
  <si>
    <t>alle übrigen</t>
  </si>
  <si>
    <t>Anteil Spesen</t>
  </si>
  <si>
    <t>%</t>
  </si>
  <si>
    <t>bei allen Outsourcing-Aufträgen generell kalkulieren!</t>
  </si>
  <si>
    <t>Einsparungen CMS Erweiterungen</t>
  </si>
  <si>
    <t>ab Fertigstellung CIS (2009) bis 2012</t>
  </si>
  <si>
    <t>CHF/Jahr</t>
  </si>
  <si>
    <t>Anzahl Nutzer CIS</t>
  </si>
  <si>
    <t>interne MA</t>
  </si>
  <si>
    <t>Zeiteinsparung tägliche Arbeit mit CIS</t>
  </si>
  <si>
    <t>min / User</t>
  </si>
  <si>
    <t>Tägliche Arbeitszeit</t>
  </si>
  <si>
    <t>h</t>
  </si>
  <si>
    <t>Produktive Arbeitstage</t>
  </si>
  <si>
    <t>/ Jahr</t>
  </si>
  <si>
    <t>Ersparnis pro Briefing Note</t>
  </si>
  <si>
    <t>Tage</t>
  </si>
  <si>
    <t>Briefing Notes pro Jahr total</t>
  </si>
  <si>
    <t>Aktuell Dauer ~5Tage</t>
  </si>
  <si>
    <t>Profitabilitätssteigerung</t>
  </si>
  <si>
    <t>Umsatz Kundenbetreuer</t>
  </si>
  <si>
    <t>Kalkulatorischer Gewinn</t>
  </si>
  <si>
    <t>Diskontsatz intern</t>
  </si>
  <si>
    <t>festgelegt!</t>
  </si>
  <si>
    <t>Nutzenverteilung 2009</t>
  </si>
  <si>
    <t>Nutzenverteilung 2010</t>
  </si>
  <si>
    <t>Nutzenverteilung ab 2011</t>
  </si>
  <si>
    <t>Kosten
(CHF)</t>
  </si>
  <si>
    <t>Nutzen
(CHF)</t>
  </si>
  <si>
    <t>IT Maintenance pauschal</t>
  </si>
  <si>
    <t>Datenpflege (Business) 2008</t>
  </si>
  <si>
    <t>Datenpflege (Business) 2009</t>
  </si>
  <si>
    <t>Datenpflege (Business) ab 2010</t>
  </si>
  <si>
    <t>CHF</t>
  </si>
  <si>
    <t>Einkauf Content  2009</t>
  </si>
  <si>
    <t>Einkauf Content  ab 2010</t>
  </si>
  <si>
    <t>IT Maintenance in 2009: 80%</t>
  </si>
  <si>
    <t>IT Maintenance ab 2010: 100%</t>
  </si>
  <si>
    <t>Betriebskosten</t>
  </si>
  <si>
    <t>Kosten TCT für CIS Release1 2008</t>
  </si>
  <si>
    <t>Kosten TCT für CIS Release1 2009</t>
  </si>
  <si>
    <t>Kosten TCT für CIS Release1 2010</t>
  </si>
  <si>
    <t>Personalaufwand Interne MA 2008</t>
  </si>
  <si>
    <t>Personalaufwand Interne MA 2009</t>
  </si>
  <si>
    <t>Personalaufwand Interne MA 2010</t>
  </si>
  <si>
    <t>Personalaufwand Consultant 2008</t>
  </si>
  <si>
    <t>Personalaufwand IT Contractors 2008</t>
  </si>
  <si>
    <t>Personalaufwand IT Contractors 2009</t>
  </si>
  <si>
    <t>Personalaufwand IT Contractors 2010</t>
  </si>
  <si>
    <t>Personalaufwand Consultant 2010</t>
  </si>
  <si>
    <t>Personalaufwand Consultant 2009</t>
  </si>
  <si>
    <t>1. TCT</t>
  </si>
  <si>
    <t>3. Betriebskosten CIS</t>
  </si>
  <si>
    <t>2.a Interne MA Personalkosten</t>
  </si>
  <si>
    <t>2.b Consultant Personalkosten</t>
  </si>
  <si>
    <t>2.c IT Contractors Personalkosten</t>
  </si>
  <si>
    <t>4. Datenpflege</t>
  </si>
  <si>
    <t>5. Einkauf Content</t>
  </si>
  <si>
    <t>6. IT Maintenance</t>
  </si>
  <si>
    <t>SUMME</t>
  </si>
  <si>
    <t>1. keine CMS Erweiterung</t>
  </si>
  <si>
    <t>4. Profitabilitätssteigerung</t>
  </si>
  <si>
    <t>Berechnung anhand der Folie 35</t>
  </si>
  <si>
    <t>Total Kosten</t>
  </si>
  <si>
    <t>Totel Nutzen</t>
  </si>
  <si>
    <t>Total Cash In / Out</t>
  </si>
  <si>
    <t>NPV</t>
  </si>
  <si>
    <t>Jahre</t>
  </si>
  <si>
    <t>Nutzen-Rechnung</t>
  </si>
  <si>
    <t>1500 Nutzer sparen täglich 10min</t>
  </si>
  <si>
    <t>min</t>
  </si>
  <si>
    <t>einsparung im Jahr</t>
  </si>
  <si>
    <t>Einsparung Notes</t>
  </si>
  <si>
    <t>pro Jahr</t>
  </si>
  <si>
    <t>total Einsparung</t>
  </si>
  <si>
    <t>Vollzeitstellen</t>
  </si>
  <si>
    <t>Umsatz</t>
  </si>
  <si>
    <t>Gewin</t>
  </si>
  <si>
    <t>% Nutzenverteilung</t>
  </si>
  <si>
    <t>SUMME mit Nutzenverteilung</t>
  </si>
  <si>
    <t>13% habe ich auch von Finance. kann sich noch ändern.</t>
  </si>
  <si>
    <t>BC reagiert stark darauf, umso tiefer umso besser für uns</t>
  </si>
  <si>
    <t>NPV kummuliert</t>
  </si>
  <si>
    <t>Anzahl Jahre beeinflusst den BC ebenfalls stark, Bsp: 3 Jahre vs. 9 Jahre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</si>
</sst>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name val="Arial"/>
    </font>
    <font>
      <b/>
      <sz val="10"/>
      <name val="Arial"/>
      <family val="2"/>
    </font>
    <font>
      <b/>
      <sz val="26"/>
      <name val="Arial"/>
      <family val="2"/>
    </font>
    <font>
      <b/>
      <sz val="36"/>
      <name val="Symbol"/>
      <family val="1"/>
      <charset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</font>
    <font>
      <sz val="10"/>
      <name val="Arial"/>
      <family val="2"/>
    </font>
    <font>
      <b/>
      <sz val="10"/>
      <color theme="0"/>
      <name val="Arial"/>
      <family val="2"/>
    </font>
    <font>
      <b/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wrapText="1"/>
    </xf>
    <xf numFmtId="9" fontId="0" fillId="0" borderId="1" xfId="0" applyNumberFormat="1" applyBorder="1"/>
    <xf numFmtId="0" fontId="4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2" fillId="0" borderId="11" xfId="0" applyFont="1" applyBorder="1" applyAlignment="1">
      <alignment horizontal="center" vertical="center" textRotation="90"/>
    </xf>
    <xf numFmtId="0" fontId="0" fillId="0" borderId="13" xfId="0" applyBorder="1"/>
    <xf numFmtId="3" fontId="0" fillId="0" borderId="0" xfId="0" applyNumberFormat="1"/>
    <xf numFmtId="0" fontId="8" fillId="0" borderId="0" xfId="0" applyFont="1"/>
    <xf numFmtId="0" fontId="8" fillId="0" borderId="3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16" xfId="0" applyFont="1" applyBorder="1" applyAlignment="1">
      <alignment wrapText="1"/>
    </xf>
    <xf numFmtId="3" fontId="0" fillId="4" borderId="17" xfId="0" applyNumberFormat="1" applyFill="1" applyBorder="1"/>
    <xf numFmtId="0" fontId="8" fillId="0" borderId="18" xfId="0" applyFont="1" applyBorder="1" applyAlignment="1">
      <alignment wrapText="1"/>
    </xf>
    <xf numFmtId="3" fontId="0" fillId="4" borderId="0" xfId="0" applyNumberFormat="1" applyFill="1" applyBorder="1"/>
    <xf numFmtId="0" fontId="0" fillId="0" borderId="18" xfId="0" applyBorder="1" applyAlignment="1">
      <alignment wrapText="1"/>
    </xf>
    <xf numFmtId="0" fontId="8" fillId="0" borderId="19" xfId="0" applyFont="1" applyBorder="1" applyAlignment="1">
      <alignment wrapText="1"/>
    </xf>
    <xf numFmtId="3" fontId="0" fillId="4" borderId="13" xfId="0" applyNumberFormat="1" applyFill="1" applyBorder="1"/>
    <xf numFmtId="0" fontId="8" fillId="0" borderId="17" xfId="0" quotePrefix="1" applyFont="1" applyBorder="1"/>
    <xf numFmtId="0" fontId="0" fillId="0" borderId="17" xfId="0" applyBorder="1"/>
    <xf numFmtId="0" fontId="8" fillId="0" borderId="0" xfId="0" quotePrefix="1" applyFont="1" applyBorder="1"/>
    <xf numFmtId="0" fontId="0" fillId="0" borderId="0" xfId="0" applyBorder="1"/>
    <xf numFmtId="0" fontId="0" fillId="0" borderId="19" xfId="0" applyBorder="1" applyAlignment="1">
      <alignment wrapText="1"/>
    </xf>
    <xf numFmtId="0" fontId="8" fillId="0" borderId="13" xfId="0" quotePrefix="1" applyFont="1" applyBorder="1"/>
    <xf numFmtId="0" fontId="0" fillId="0" borderId="16" xfId="0" applyBorder="1" applyAlignment="1">
      <alignment wrapText="1"/>
    </xf>
    <xf numFmtId="0" fontId="8" fillId="0" borderId="17" xfId="0" applyFont="1" applyBorder="1"/>
    <xf numFmtId="0" fontId="8" fillId="0" borderId="0" xfId="0" applyFont="1" applyBorder="1"/>
    <xf numFmtId="3" fontId="8" fillId="4" borderId="13" xfId="0" applyNumberFormat="1" applyFont="1" applyFill="1" applyBorder="1"/>
    <xf numFmtId="0" fontId="8" fillId="0" borderId="13" xfId="0" quotePrefix="1" applyFont="1" applyFill="1" applyBorder="1"/>
    <xf numFmtId="0" fontId="8" fillId="0" borderId="13" xfId="0" applyFont="1" applyFill="1" applyBorder="1"/>
    <xf numFmtId="9" fontId="0" fillId="4" borderId="0" xfId="0" applyNumberFormat="1" applyFill="1" applyBorder="1"/>
    <xf numFmtId="0" fontId="8" fillId="0" borderId="13" xfId="0" applyFont="1" applyBorder="1"/>
    <xf numFmtId="9" fontId="0" fillId="4" borderId="17" xfId="0" applyNumberFormat="1" applyFill="1" applyBorder="1"/>
    <xf numFmtId="9" fontId="0" fillId="4" borderId="13" xfId="0" applyNumberFormat="1" applyFill="1" applyBorder="1"/>
    <xf numFmtId="0" fontId="2" fillId="0" borderId="0" xfId="0" applyFont="1" applyBorder="1" applyAlignment="1">
      <alignment horizontal="center" vertical="center" textRotation="90"/>
    </xf>
    <xf numFmtId="0" fontId="0" fillId="0" borderId="14" xfId="0" applyBorder="1" applyAlignment="1">
      <alignment wrapText="1"/>
    </xf>
    <xf numFmtId="164" fontId="0" fillId="0" borderId="0" xfId="0" applyNumberFormat="1"/>
    <xf numFmtId="164" fontId="9" fillId="2" borderId="2" xfId="0" quotePrefix="1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0" fillId="5" borderId="2" xfId="0" applyNumberFormat="1" applyFill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5" borderId="8" xfId="0" applyNumberFormat="1" applyFill="1" applyBorder="1"/>
    <xf numFmtId="164" fontId="0" fillId="0" borderId="18" xfId="0" applyNumberFormat="1" applyBorder="1"/>
    <xf numFmtId="164" fontId="9" fillId="2" borderId="4" xfId="0" quotePrefix="1" applyNumberFormat="1" applyFont="1" applyFill="1" applyBorder="1" applyAlignment="1">
      <alignment horizontal="left"/>
    </xf>
    <xf numFmtId="164" fontId="9" fillId="2" borderId="4" xfId="0" quotePrefix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wrapText="1"/>
    </xf>
    <xf numFmtId="3" fontId="1" fillId="5" borderId="0" xfId="0" applyNumberFormat="1" applyFont="1" applyFill="1"/>
    <xf numFmtId="0" fontId="8" fillId="6" borderId="2" xfId="0" applyFont="1" applyFill="1" applyBorder="1" applyAlignment="1">
      <alignment wrapText="1"/>
    </xf>
    <xf numFmtId="164" fontId="0" fillId="6" borderId="2" xfId="0" applyNumberFormat="1" applyFill="1" applyBorder="1"/>
    <xf numFmtId="0" fontId="0" fillId="0" borderId="20" xfId="0" applyBorder="1" applyAlignment="1">
      <alignment wrapText="1"/>
    </xf>
    <xf numFmtId="3" fontId="0" fillId="4" borderId="21" xfId="0" applyNumberForma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8" fillId="0" borderId="26" xfId="0" applyFont="1" applyBorder="1" applyAlignment="1">
      <alignment wrapText="1"/>
    </xf>
    <xf numFmtId="3" fontId="0" fillId="4" borderId="7" xfId="0" applyNumberFormat="1" applyFill="1" applyBorder="1"/>
    <xf numFmtId="0" fontId="8" fillId="0" borderId="7" xfId="0" quotePrefix="1" applyFont="1" applyBorder="1"/>
    <xf numFmtId="0" fontId="0" fillId="0" borderId="7" xfId="0" applyBorder="1"/>
    <xf numFmtId="0" fontId="0" fillId="0" borderId="27" xfId="0" applyBorder="1"/>
    <xf numFmtId="164" fontId="0" fillId="6" borderId="8" xfId="0" applyNumberFormat="1" applyFill="1" applyBorder="1"/>
    <xf numFmtId="9" fontId="0" fillId="0" borderId="6" xfId="0" applyNumberFormat="1" applyBorder="1"/>
    <xf numFmtId="0" fontId="8" fillId="0" borderId="15" xfId="0" applyFont="1" applyBorder="1" applyAlignment="1">
      <alignment vertical="center" wrapText="1"/>
    </xf>
    <xf numFmtId="164" fontId="0" fillId="0" borderId="15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1" fillId="5" borderId="2" xfId="0" applyFont="1" applyFill="1" applyBorder="1" applyAlignment="1">
      <alignment vertical="center" wrapText="1"/>
    </xf>
    <xf numFmtId="164" fontId="1" fillId="5" borderId="2" xfId="0" applyNumberFormat="1" applyFont="1" applyFill="1" applyBorder="1" applyAlignment="1">
      <alignment vertical="center"/>
    </xf>
    <xf numFmtId="164" fontId="1" fillId="5" borderId="8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2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3" borderId="13" xfId="0" applyFill="1" applyBorder="1"/>
    <xf numFmtId="0" fontId="0" fillId="3" borderId="24" xfId="0" applyFill="1" applyBorder="1"/>
    <xf numFmtId="0" fontId="0" fillId="3" borderId="0" xfId="0" applyFill="1"/>
    <xf numFmtId="164" fontId="0" fillId="3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workbookViewId="0">
      <selection activeCell="C22" sqref="C22"/>
    </sheetView>
  </sheetViews>
  <sheetFormatPr baseColWidth="10" defaultRowHeight="12.75" x14ac:dyDescent="0.2"/>
  <cols>
    <col min="1" max="1" width="8.5703125" style="1" customWidth="1"/>
    <col min="2" max="2" width="8" style="1" customWidth="1"/>
    <col min="3" max="3" width="99.7109375" style="1" customWidth="1"/>
    <col min="4" max="16384" width="11.42578125" style="1"/>
  </cols>
  <sheetData>
    <row r="1" spans="1:4" ht="23.25" x14ac:dyDescent="0.35">
      <c r="A1" s="86" t="s">
        <v>1</v>
      </c>
      <c r="B1" s="86"/>
      <c r="C1" s="86"/>
      <c r="D1" s="5"/>
    </row>
    <row r="2" spans="1:4" ht="39.75" customHeight="1" x14ac:dyDescent="0.25">
      <c r="B2" s="87" t="s">
        <v>2</v>
      </c>
      <c r="C2" s="87"/>
    </row>
    <row r="3" spans="1:4" ht="39.75" customHeight="1" x14ac:dyDescent="0.25">
      <c r="B3" s="87" t="s">
        <v>3</v>
      </c>
      <c r="C3" s="87"/>
    </row>
    <row r="4" spans="1:4" ht="15.75" x14ac:dyDescent="0.25">
      <c r="C4" s="6" t="s">
        <v>4</v>
      </c>
    </row>
    <row r="5" spans="1:4" ht="15.75" x14ac:dyDescent="0.25">
      <c r="C5" s="6" t="s">
        <v>9</v>
      </c>
    </row>
    <row r="6" spans="1:4" ht="15.75" x14ac:dyDescent="0.25">
      <c r="C6" s="6" t="s">
        <v>5</v>
      </c>
    </row>
    <row r="7" spans="1:4" ht="15.75" x14ac:dyDescent="0.25">
      <c r="C7" s="6" t="s">
        <v>6</v>
      </c>
    </row>
    <row r="8" spans="1:4" ht="43.5" customHeight="1" x14ac:dyDescent="0.25">
      <c r="B8" s="87" t="s">
        <v>7</v>
      </c>
      <c r="C8" s="87"/>
    </row>
    <row r="9" spans="1:4" ht="23.25" x14ac:dyDescent="0.35">
      <c r="A9" s="86" t="s">
        <v>8</v>
      </c>
      <c r="B9" s="86"/>
      <c r="C9" s="86"/>
    </row>
  </sheetData>
  <mergeCells count="5">
    <mergeCell ref="A9:C9"/>
    <mergeCell ref="A1:C1"/>
    <mergeCell ref="B8:C8"/>
    <mergeCell ref="B3:C3"/>
    <mergeCell ref="B2:C2"/>
  </mergeCells>
  <phoneticPr fontId="7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topLeftCell="A37" zoomScaleNormal="100" workbookViewId="0">
      <selection activeCell="B71" sqref="B71"/>
    </sheetView>
  </sheetViews>
  <sheetFormatPr baseColWidth="10" defaultRowHeight="12.75" x14ac:dyDescent="0.2"/>
  <cols>
    <col min="1" max="1" width="13" customWidth="1"/>
    <col min="2" max="2" width="32.85546875" style="1" customWidth="1"/>
    <col min="3" max="3" width="13.28515625" style="9" customWidth="1"/>
    <col min="4" max="12" width="13.28515625" customWidth="1"/>
    <col min="13" max="13" width="17" customWidth="1"/>
  </cols>
  <sheetData>
    <row r="1" spans="1:13" x14ac:dyDescent="0.2">
      <c r="A1" s="91" t="s">
        <v>10</v>
      </c>
      <c r="B1" s="59" t="s">
        <v>11</v>
      </c>
      <c r="C1" s="60">
        <v>1400</v>
      </c>
      <c r="D1" s="61" t="s">
        <v>12</v>
      </c>
      <c r="E1" s="61"/>
      <c r="F1" s="61"/>
      <c r="G1" s="61"/>
      <c r="H1" s="61"/>
      <c r="I1" s="61"/>
      <c r="J1" s="61"/>
      <c r="K1" s="61"/>
      <c r="L1" s="62"/>
    </row>
    <row r="2" spans="1:13" x14ac:dyDescent="0.2">
      <c r="A2" s="92"/>
      <c r="B2" s="20" t="s">
        <v>13</v>
      </c>
      <c r="C2" s="19">
        <v>2200</v>
      </c>
      <c r="D2" s="26" t="s">
        <v>12</v>
      </c>
      <c r="E2" s="26" t="s">
        <v>15</v>
      </c>
      <c r="F2" s="26"/>
      <c r="G2" s="26"/>
      <c r="H2" s="26"/>
      <c r="I2" s="26"/>
      <c r="J2" s="26"/>
      <c r="K2" s="26"/>
      <c r="L2" s="63"/>
    </row>
    <row r="3" spans="1:13" x14ac:dyDescent="0.2">
      <c r="A3" s="92"/>
      <c r="B3" s="20" t="s">
        <v>14</v>
      </c>
      <c r="C3" s="19">
        <v>1800</v>
      </c>
      <c r="D3" s="26" t="s">
        <v>12</v>
      </c>
      <c r="E3" s="26" t="s">
        <v>16</v>
      </c>
      <c r="F3" s="26"/>
      <c r="G3" s="26"/>
      <c r="H3" s="26"/>
      <c r="I3" s="26"/>
      <c r="J3" s="26"/>
      <c r="K3" s="26"/>
      <c r="L3" s="63"/>
    </row>
    <row r="4" spans="1:13" x14ac:dyDescent="0.2">
      <c r="A4" s="92"/>
      <c r="B4" s="20" t="s">
        <v>17</v>
      </c>
      <c r="C4" s="35">
        <v>0.1</v>
      </c>
      <c r="D4" s="26" t="s">
        <v>18</v>
      </c>
      <c r="E4" s="26" t="s">
        <v>19</v>
      </c>
      <c r="F4" s="26"/>
      <c r="G4" s="26"/>
      <c r="H4" s="26"/>
      <c r="I4" s="26"/>
      <c r="J4" s="26"/>
      <c r="K4" s="26"/>
      <c r="L4" s="63"/>
    </row>
    <row r="5" spans="1:13" x14ac:dyDescent="0.2">
      <c r="A5" s="92"/>
      <c r="B5" s="27" t="s">
        <v>20</v>
      </c>
      <c r="C5" s="22">
        <v>250000</v>
      </c>
      <c r="D5" s="36" t="s">
        <v>22</v>
      </c>
      <c r="E5" s="36" t="s">
        <v>21</v>
      </c>
      <c r="F5" s="8"/>
      <c r="G5" s="8"/>
      <c r="H5" s="8"/>
      <c r="I5" s="8"/>
      <c r="J5" s="8"/>
      <c r="K5" s="8"/>
      <c r="L5" s="64"/>
    </row>
    <row r="6" spans="1:13" x14ac:dyDescent="0.2">
      <c r="A6" s="92"/>
      <c r="B6" s="29" t="s">
        <v>23</v>
      </c>
      <c r="C6" s="17">
        <v>1500</v>
      </c>
      <c r="D6" s="24"/>
      <c r="E6" s="30" t="s">
        <v>24</v>
      </c>
      <c r="F6" s="24"/>
      <c r="G6" s="24"/>
      <c r="H6" s="24"/>
      <c r="I6" s="24"/>
      <c r="J6" s="24"/>
      <c r="K6" s="24"/>
      <c r="L6" s="65"/>
      <c r="M6" s="10"/>
    </row>
    <row r="7" spans="1:13" x14ac:dyDescent="0.2">
      <c r="A7" s="92"/>
      <c r="B7" s="18" t="s">
        <v>25</v>
      </c>
      <c r="C7" s="19">
        <v>10</v>
      </c>
      <c r="D7" s="31" t="s">
        <v>26</v>
      </c>
      <c r="E7" s="26"/>
      <c r="F7" s="26"/>
      <c r="G7" s="26"/>
      <c r="H7" s="26"/>
      <c r="I7" s="26"/>
      <c r="J7" s="26"/>
      <c r="K7" s="26"/>
      <c r="L7" s="63"/>
    </row>
    <row r="8" spans="1:13" x14ac:dyDescent="0.2">
      <c r="A8" s="92"/>
      <c r="B8" s="20" t="s">
        <v>27</v>
      </c>
      <c r="C8" s="19">
        <v>8</v>
      </c>
      <c r="D8" s="31" t="s">
        <v>28</v>
      </c>
      <c r="E8" s="26"/>
      <c r="F8" s="26"/>
      <c r="G8" s="26"/>
      <c r="H8" s="26"/>
      <c r="I8" s="26"/>
      <c r="J8" s="26"/>
      <c r="K8" s="26"/>
      <c r="L8" s="63"/>
    </row>
    <row r="9" spans="1:13" x14ac:dyDescent="0.2">
      <c r="A9" s="92"/>
      <c r="B9" s="20" t="s">
        <v>29</v>
      </c>
      <c r="C9" s="19">
        <v>220</v>
      </c>
      <c r="D9" s="25" t="s">
        <v>30</v>
      </c>
      <c r="E9" s="26"/>
      <c r="F9" s="26"/>
      <c r="G9" s="26"/>
      <c r="H9" s="26"/>
      <c r="I9" s="26"/>
      <c r="J9" s="26"/>
      <c r="K9" s="26"/>
      <c r="L9" s="63"/>
    </row>
    <row r="10" spans="1:13" x14ac:dyDescent="0.2">
      <c r="A10" s="92"/>
      <c r="B10" s="20" t="s">
        <v>31</v>
      </c>
      <c r="C10" s="19">
        <v>3</v>
      </c>
      <c r="D10" s="25" t="s">
        <v>32</v>
      </c>
      <c r="E10" s="31" t="s">
        <v>34</v>
      </c>
      <c r="F10" s="26"/>
      <c r="G10" s="26"/>
      <c r="H10" s="26"/>
      <c r="I10" s="26"/>
      <c r="J10" s="26"/>
      <c r="K10" s="26"/>
      <c r="L10" s="63"/>
    </row>
    <row r="11" spans="1:13" x14ac:dyDescent="0.2">
      <c r="A11" s="92"/>
      <c r="B11" s="20" t="s">
        <v>33</v>
      </c>
      <c r="C11" s="19">
        <v>400</v>
      </c>
      <c r="D11" s="25" t="s">
        <v>30</v>
      </c>
      <c r="E11" s="26"/>
      <c r="F11" s="26"/>
      <c r="G11" s="26"/>
      <c r="H11" s="26"/>
      <c r="I11" s="26"/>
      <c r="J11" s="26"/>
      <c r="K11" s="26"/>
      <c r="L11" s="63"/>
    </row>
    <row r="12" spans="1:13" x14ac:dyDescent="0.2">
      <c r="A12" s="92"/>
      <c r="B12" s="18" t="s">
        <v>37</v>
      </c>
      <c r="C12" s="35">
        <v>0.18</v>
      </c>
      <c r="D12" s="25" t="s">
        <v>18</v>
      </c>
      <c r="E12" s="26" t="s">
        <v>39</v>
      </c>
      <c r="F12" s="26"/>
      <c r="G12" s="26"/>
      <c r="H12" s="26"/>
      <c r="I12" s="26"/>
      <c r="J12" s="26"/>
      <c r="K12" s="26"/>
      <c r="L12" s="63"/>
    </row>
    <row r="13" spans="1:13" x14ac:dyDescent="0.2">
      <c r="A13" s="92"/>
      <c r="B13" s="18" t="s">
        <v>36</v>
      </c>
      <c r="C13" s="19">
        <v>4800000</v>
      </c>
      <c r="D13" s="25" t="s">
        <v>30</v>
      </c>
      <c r="E13" s="26"/>
      <c r="F13" s="26"/>
      <c r="G13" s="26"/>
      <c r="H13" s="26"/>
      <c r="I13" s="26"/>
      <c r="J13" s="26"/>
      <c r="K13" s="26"/>
      <c r="L13" s="63"/>
    </row>
    <row r="14" spans="1:13" x14ac:dyDescent="0.2">
      <c r="A14" s="92"/>
      <c r="B14" s="27" t="s">
        <v>35</v>
      </c>
      <c r="C14" s="32">
        <f>Nutzen!B19</f>
        <v>31712727.272727273</v>
      </c>
      <c r="D14" s="33" t="s">
        <v>30</v>
      </c>
      <c r="E14" s="34" t="s">
        <v>78</v>
      </c>
      <c r="F14" s="8"/>
      <c r="G14" s="8"/>
      <c r="H14" s="8"/>
      <c r="I14" s="8"/>
      <c r="J14" s="8"/>
      <c r="K14" s="8"/>
      <c r="L14" s="64"/>
    </row>
    <row r="15" spans="1:13" x14ac:dyDescent="0.2">
      <c r="A15" s="92"/>
      <c r="B15" s="27" t="s">
        <v>38</v>
      </c>
      <c r="C15" s="38">
        <v>0.13</v>
      </c>
      <c r="D15" s="28" t="s">
        <v>18</v>
      </c>
      <c r="E15" s="36" t="s">
        <v>96</v>
      </c>
      <c r="F15" s="8"/>
      <c r="G15" s="8"/>
      <c r="H15" s="8"/>
      <c r="I15" s="97" t="s">
        <v>97</v>
      </c>
      <c r="J15" s="97"/>
      <c r="K15" s="97"/>
      <c r="L15" s="98"/>
    </row>
    <row r="16" spans="1:13" x14ac:dyDescent="0.2">
      <c r="A16" s="92"/>
      <c r="B16" s="16" t="s">
        <v>40</v>
      </c>
      <c r="C16" s="37">
        <v>0.5</v>
      </c>
      <c r="D16" s="23" t="s">
        <v>18</v>
      </c>
      <c r="E16" s="24"/>
      <c r="F16" s="24"/>
      <c r="G16" s="24"/>
      <c r="H16" s="24"/>
      <c r="I16" s="24"/>
      <c r="J16" s="24"/>
      <c r="K16" s="24"/>
      <c r="L16" s="65"/>
    </row>
    <row r="17" spans="1:12" x14ac:dyDescent="0.2">
      <c r="A17" s="92"/>
      <c r="B17" s="18" t="s">
        <v>41</v>
      </c>
      <c r="C17" s="35">
        <v>0.8</v>
      </c>
      <c r="D17" s="25" t="s">
        <v>18</v>
      </c>
      <c r="E17" s="26"/>
      <c r="F17" s="26"/>
      <c r="G17" s="26"/>
      <c r="H17" s="26"/>
      <c r="I17" s="26"/>
      <c r="J17" s="26"/>
      <c r="K17" s="26"/>
      <c r="L17" s="63"/>
    </row>
    <row r="18" spans="1:12" x14ac:dyDescent="0.2">
      <c r="A18" s="92"/>
      <c r="B18" s="21" t="s">
        <v>42</v>
      </c>
      <c r="C18" s="38">
        <v>1</v>
      </c>
      <c r="D18" s="28" t="s">
        <v>18</v>
      </c>
      <c r="E18" s="8"/>
      <c r="F18" s="8"/>
      <c r="G18" s="8"/>
      <c r="H18" s="8"/>
      <c r="I18" s="8"/>
      <c r="J18" s="8"/>
      <c r="K18" s="8"/>
      <c r="L18" s="64"/>
    </row>
    <row r="19" spans="1:12" x14ac:dyDescent="0.2">
      <c r="A19" s="92"/>
      <c r="B19" s="20" t="s">
        <v>46</v>
      </c>
      <c r="C19" s="19">
        <v>440000</v>
      </c>
      <c r="D19" s="25" t="s">
        <v>49</v>
      </c>
      <c r="E19" s="26"/>
      <c r="F19" s="26"/>
      <c r="G19" s="26"/>
      <c r="H19" s="26"/>
      <c r="I19" s="26"/>
      <c r="J19" s="26"/>
      <c r="K19" s="26"/>
      <c r="L19" s="63"/>
    </row>
    <row r="20" spans="1:12" x14ac:dyDescent="0.2">
      <c r="A20" s="92"/>
      <c r="B20" s="20" t="s">
        <v>47</v>
      </c>
      <c r="C20" s="19">
        <v>630000</v>
      </c>
      <c r="D20" s="25" t="s">
        <v>49</v>
      </c>
      <c r="E20" s="26"/>
      <c r="F20" s="26"/>
      <c r="G20" s="26"/>
      <c r="H20" s="26"/>
      <c r="I20" s="26"/>
      <c r="J20" s="26"/>
      <c r="K20" s="26"/>
      <c r="L20" s="63"/>
    </row>
    <row r="21" spans="1:12" x14ac:dyDescent="0.2">
      <c r="A21" s="92"/>
      <c r="B21" s="20" t="s">
        <v>48</v>
      </c>
      <c r="C21" s="19">
        <v>580000</v>
      </c>
      <c r="D21" s="25" t="s">
        <v>49</v>
      </c>
      <c r="E21" s="26"/>
      <c r="F21" s="26"/>
      <c r="G21" s="26"/>
      <c r="H21" s="26"/>
      <c r="I21" s="26"/>
      <c r="J21" s="26"/>
      <c r="K21" s="26"/>
      <c r="L21" s="63"/>
    </row>
    <row r="22" spans="1:12" x14ac:dyDescent="0.2">
      <c r="A22" s="92"/>
      <c r="B22" s="20" t="s">
        <v>50</v>
      </c>
      <c r="C22" s="19">
        <v>1200000</v>
      </c>
      <c r="D22" s="25" t="s">
        <v>49</v>
      </c>
      <c r="E22" s="26"/>
      <c r="F22" s="26"/>
      <c r="G22" s="26"/>
      <c r="H22" s="26"/>
      <c r="I22" s="26"/>
      <c r="J22" s="26"/>
      <c r="K22" s="26"/>
      <c r="L22" s="63"/>
    </row>
    <row r="23" spans="1:12" x14ac:dyDescent="0.2">
      <c r="A23" s="92"/>
      <c r="B23" s="20" t="s">
        <v>51</v>
      </c>
      <c r="C23" s="19">
        <v>2030000</v>
      </c>
      <c r="D23" s="25" t="s">
        <v>49</v>
      </c>
      <c r="E23" s="26"/>
      <c r="F23" s="26"/>
      <c r="G23" s="26"/>
      <c r="H23" s="26"/>
      <c r="I23" s="26"/>
      <c r="J23" s="26"/>
      <c r="K23" s="26"/>
      <c r="L23" s="63"/>
    </row>
    <row r="24" spans="1:12" x14ac:dyDescent="0.2">
      <c r="A24" s="92"/>
      <c r="B24" s="20" t="s">
        <v>45</v>
      </c>
      <c r="C24" s="19">
        <v>1520000</v>
      </c>
      <c r="D24" s="25" t="s">
        <v>49</v>
      </c>
      <c r="E24" s="26"/>
      <c r="F24" s="26"/>
      <c r="G24" s="26"/>
      <c r="H24" s="26"/>
      <c r="I24" s="26"/>
      <c r="J24" s="26"/>
      <c r="K24" s="26"/>
      <c r="L24" s="63"/>
    </row>
    <row r="25" spans="1:12" x14ac:dyDescent="0.2">
      <c r="A25" s="92"/>
      <c r="B25" s="20" t="s">
        <v>52</v>
      </c>
      <c r="C25" s="19">
        <f>C24*0.8</f>
        <v>1216000</v>
      </c>
      <c r="D25" s="25" t="s">
        <v>49</v>
      </c>
      <c r="E25" s="26"/>
      <c r="F25" s="26"/>
      <c r="G25" s="26"/>
      <c r="H25" s="26"/>
      <c r="I25" s="26"/>
      <c r="J25" s="26"/>
      <c r="K25" s="26"/>
      <c r="L25" s="63"/>
    </row>
    <row r="26" spans="1:12" x14ac:dyDescent="0.2">
      <c r="A26" s="92"/>
      <c r="B26" s="20" t="s">
        <v>53</v>
      </c>
      <c r="C26" s="19">
        <f>C24</f>
        <v>1520000</v>
      </c>
      <c r="D26" s="25" t="s">
        <v>49</v>
      </c>
      <c r="E26" s="26"/>
      <c r="F26" s="26"/>
      <c r="G26" s="26"/>
      <c r="H26" s="26"/>
      <c r="I26" s="26"/>
      <c r="J26" s="26"/>
      <c r="K26" s="26"/>
      <c r="L26" s="63"/>
    </row>
    <row r="27" spans="1:12" x14ac:dyDescent="0.2">
      <c r="A27" s="92"/>
      <c r="B27" s="20" t="s">
        <v>54</v>
      </c>
      <c r="C27" s="19">
        <v>480000</v>
      </c>
      <c r="D27" s="25" t="s">
        <v>49</v>
      </c>
      <c r="E27" s="26"/>
      <c r="F27" s="26"/>
      <c r="G27" s="26"/>
      <c r="H27" s="26"/>
      <c r="I27" s="26"/>
      <c r="J27" s="26"/>
      <c r="K27" s="26"/>
      <c r="L27" s="63"/>
    </row>
    <row r="28" spans="1:12" x14ac:dyDescent="0.2">
      <c r="A28" s="92"/>
      <c r="B28" s="20" t="s">
        <v>55</v>
      </c>
      <c r="C28" s="19">
        <v>1500000</v>
      </c>
      <c r="D28" s="25" t="s">
        <v>49</v>
      </c>
      <c r="E28" s="26"/>
      <c r="F28" s="26"/>
      <c r="G28" s="26"/>
      <c r="H28" s="26"/>
      <c r="I28" s="26"/>
      <c r="J28" s="26"/>
      <c r="K28" s="26"/>
      <c r="L28" s="63"/>
    </row>
    <row r="29" spans="1:12" x14ac:dyDescent="0.2">
      <c r="A29" s="92"/>
      <c r="B29" s="20" t="s">
        <v>56</v>
      </c>
      <c r="C29" s="19">
        <v>1220000</v>
      </c>
      <c r="D29" s="25" t="s">
        <v>49</v>
      </c>
      <c r="E29" s="26"/>
      <c r="F29" s="26"/>
      <c r="G29" s="26"/>
      <c r="H29" s="26"/>
      <c r="I29" s="26"/>
      <c r="J29" s="26"/>
      <c r="K29" s="26"/>
      <c r="L29" s="63"/>
    </row>
    <row r="30" spans="1:12" x14ac:dyDescent="0.2">
      <c r="A30" s="92"/>
      <c r="B30" s="18" t="s">
        <v>57</v>
      </c>
      <c r="C30" s="19">
        <v>200000</v>
      </c>
      <c r="D30" s="25" t="s">
        <v>49</v>
      </c>
      <c r="E30" s="26"/>
      <c r="F30" s="26"/>
      <c r="G30" s="26"/>
      <c r="H30" s="26"/>
      <c r="I30" s="26"/>
      <c r="J30" s="26"/>
      <c r="K30" s="26"/>
      <c r="L30" s="63"/>
    </row>
    <row r="31" spans="1:12" x14ac:dyDescent="0.2">
      <c r="A31" s="92"/>
      <c r="B31" s="16" t="s">
        <v>58</v>
      </c>
      <c r="C31" s="17">
        <v>980</v>
      </c>
      <c r="D31" s="23" t="s">
        <v>32</v>
      </c>
      <c r="E31" s="24"/>
      <c r="F31" s="24"/>
      <c r="G31" s="24"/>
      <c r="H31" s="24"/>
      <c r="I31" s="24"/>
      <c r="J31" s="24"/>
      <c r="K31" s="24"/>
      <c r="L31" s="65"/>
    </row>
    <row r="32" spans="1:12" x14ac:dyDescent="0.2">
      <c r="A32" s="92"/>
      <c r="B32" s="18" t="s">
        <v>59</v>
      </c>
      <c r="C32" s="19">
        <v>540</v>
      </c>
      <c r="D32" s="25" t="s">
        <v>32</v>
      </c>
      <c r="E32" s="26"/>
      <c r="F32" s="26"/>
      <c r="G32" s="26"/>
      <c r="H32" s="26"/>
      <c r="I32" s="26"/>
      <c r="J32" s="26"/>
      <c r="K32" s="26"/>
      <c r="L32" s="63"/>
    </row>
    <row r="33" spans="1:12" x14ac:dyDescent="0.2">
      <c r="A33" s="92"/>
      <c r="B33" s="18" t="s">
        <v>60</v>
      </c>
      <c r="C33" s="19">
        <v>140</v>
      </c>
      <c r="D33" s="25" t="s">
        <v>32</v>
      </c>
      <c r="E33" s="26"/>
      <c r="F33" s="26"/>
      <c r="G33" s="26"/>
      <c r="H33" s="26"/>
      <c r="I33" s="26"/>
      <c r="J33" s="26"/>
      <c r="K33" s="26"/>
      <c r="L33" s="63"/>
    </row>
    <row r="34" spans="1:12" x14ac:dyDescent="0.2">
      <c r="A34" s="92"/>
      <c r="B34" s="18" t="s">
        <v>61</v>
      </c>
      <c r="C34" s="19">
        <v>360</v>
      </c>
      <c r="D34" s="25" t="s">
        <v>32</v>
      </c>
      <c r="E34" s="26"/>
      <c r="F34" s="26"/>
      <c r="G34" s="26"/>
      <c r="H34" s="26"/>
      <c r="I34" s="26"/>
      <c r="J34" s="26"/>
      <c r="K34" s="26"/>
      <c r="L34" s="63"/>
    </row>
    <row r="35" spans="1:12" x14ac:dyDescent="0.2">
      <c r="A35" s="92"/>
      <c r="B35" s="18" t="s">
        <v>66</v>
      </c>
      <c r="C35" s="19">
        <v>280</v>
      </c>
      <c r="D35" s="25" t="s">
        <v>32</v>
      </c>
      <c r="E35" s="26"/>
      <c r="F35" s="26"/>
      <c r="G35" s="26"/>
      <c r="H35" s="26"/>
      <c r="I35" s="26"/>
      <c r="J35" s="26"/>
      <c r="K35" s="26"/>
      <c r="L35" s="63"/>
    </row>
    <row r="36" spans="1:12" x14ac:dyDescent="0.2">
      <c r="A36" s="92"/>
      <c r="B36" s="18" t="s">
        <v>65</v>
      </c>
      <c r="C36" s="19">
        <v>50</v>
      </c>
      <c r="D36" s="25" t="s">
        <v>32</v>
      </c>
      <c r="E36" s="26"/>
      <c r="F36" s="26"/>
      <c r="G36" s="26"/>
      <c r="H36" s="26"/>
      <c r="I36" s="26"/>
      <c r="J36" s="26"/>
      <c r="K36" s="26"/>
      <c r="L36" s="63"/>
    </row>
    <row r="37" spans="1:12" x14ac:dyDescent="0.2">
      <c r="A37" s="92"/>
      <c r="B37" s="18" t="s">
        <v>62</v>
      </c>
      <c r="C37" s="19">
        <v>420</v>
      </c>
      <c r="D37" s="25" t="s">
        <v>32</v>
      </c>
      <c r="E37" s="26"/>
      <c r="F37" s="26"/>
      <c r="G37" s="26"/>
      <c r="H37" s="26"/>
      <c r="I37" s="26"/>
      <c r="J37" s="26"/>
      <c r="K37" s="26"/>
      <c r="L37" s="63"/>
    </row>
    <row r="38" spans="1:12" x14ac:dyDescent="0.2">
      <c r="A38" s="92"/>
      <c r="B38" s="18" t="s">
        <v>63</v>
      </c>
      <c r="C38" s="19">
        <v>230</v>
      </c>
      <c r="D38" s="25" t="s">
        <v>32</v>
      </c>
      <c r="E38" s="26"/>
      <c r="F38" s="26"/>
      <c r="G38" s="26"/>
      <c r="H38" s="26"/>
      <c r="I38" s="26"/>
      <c r="J38" s="26"/>
      <c r="K38" s="26"/>
      <c r="L38" s="63"/>
    </row>
    <row r="39" spans="1:12" ht="13.5" thickBot="1" x14ac:dyDescent="0.25">
      <c r="A39" s="93"/>
      <c r="B39" s="66" t="s">
        <v>64</v>
      </c>
      <c r="C39" s="67">
        <v>160</v>
      </c>
      <c r="D39" s="68" t="s">
        <v>32</v>
      </c>
      <c r="E39" s="69"/>
      <c r="F39" s="69"/>
      <c r="G39" s="69"/>
      <c r="H39" s="69"/>
      <c r="I39" s="69"/>
      <c r="J39" s="69"/>
      <c r="K39" s="69"/>
      <c r="L39" s="70"/>
    </row>
    <row r="40" spans="1:12" x14ac:dyDescent="0.2">
      <c r="C40" s="41"/>
      <c r="D40" s="41"/>
      <c r="E40" s="41"/>
      <c r="F40" s="41"/>
      <c r="G40" s="41"/>
      <c r="H40" s="41"/>
      <c r="I40" s="41"/>
      <c r="J40" s="41"/>
      <c r="K40" s="41"/>
      <c r="L40" s="41"/>
    </row>
    <row r="41" spans="1:12" ht="13.5" thickBot="1" x14ac:dyDescent="0.25">
      <c r="B41" s="3"/>
      <c r="C41" s="42" t="str">
        <f>"2008"</f>
        <v>2008</v>
      </c>
      <c r="D41" s="43" t="str">
        <f>"2009"</f>
        <v>2009</v>
      </c>
      <c r="E41" s="43" t="str">
        <f>"2010"</f>
        <v>2010</v>
      </c>
      <c r="F41" s="43" t="str">
        <f>"2011"</f>
        <v>2011</v>
      </c>
      <c r="G41" s="43" t="str">
        <f>"2012"</f>
        <v>2012</v>
      </c>
      <c r="H41" s="43" t="str">
        <f>"2013"</f>
        <v>2013</v>
      </c>
      <c r="I41" s="43" t="str">
        <f>"2014"</f>
        <v>2014</v>
      </c>
      <c r="J41" s="43" t="str">
        <f>"2015"</f>
        <v>2015</v>
      </c>
      <c r="K41" s="43" t="str">
        <f>"2016"</f>
        <v>2016</v>
      </c>
      <c r="L41" s="43" t="str">
        <f>"2017"</f>
        <v>2017</v>
      </c>
    </row>
    <row r="42" spans="1:12" x14ac:dyDescent="0.2">
      <c r="A42" s="88" t="s">
        <v>43</v>
      </c>
      <c r="B42" s="11" t="s">
        <v>67</v>
      </c>
      <c r="C42" s="44">
        <f>C28</f>
        <v>1500000</v>
      </c>
      <c r="D42" s="44">
        <f>C29</f>
        <v>1220000</v>
      </c>
      <c r="E42" s="44">
        <f>$C$30</f>
        <v>200000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</row>
    <row r="43" spans="1:12" x14ac:dyDescent="0.2">
      <c r="A43" s="89"/>
      <c r="B43" s="12" t="s">
        <v>69</v>
      </c>
      <c r="C43" s="45">
        <f>C31*$C$1</f>
        <v>1372000</v>
      </c>
      <c r="D43" s="45">
        <f>C32*$C$1</f>
        <v>756000</v>
      </c>
      <c r="E43" s="45">
        <f>C33*$C$1</f>
        <v>196000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</row>
    <row r="44" spans="1:12" x14ac:dyDescent="0.2">
      <c r="A44" s="89"/>
      <c r="B44" s="12" t="s">
        <v>70</v>
      </c>
      <c r="C44" s="45">
        <f>C34*$C$2+C4*$C$2*C34</f>
        <v>871200</v>
      </c>
      <c r="D44" s="45">
        <f>C35*$C$2+C4*$C$2*C35</f>
        <v>677600</v>
      </c>
      <c r="E44" s="45">
        <f>C36*$C$2+C4*$C$2*C36</f>
        <v>121000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</row>
    <row r="45" spans="1:12" x14ac:dyDescent="0.2">
      <c r="A45" s="89"/>
      <c r="B45" s="12" t="s">
        <v>71</v>
      </c>
      <c r="C45" s="45">
        <f>C37*$C$3+C37*$C$3*C4</f>
        <v>831600</v>
      </c>
      <c r="D45" s="45">
        <f>C38*$C$3+C38*$C$3*C4</f>
        <v>455400</v>
      </c>
      <c r="E45" s="45">
        <f>C39*$C$3+C39*$C$3*C4</f>
        <v>316800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</row>
    <row r="46" spans="1:12" x14ac:dyDescent="0.2">
      <c r="A46" s="89"/>
      <c r="B46" s="12" t="s">
        <v>68</v>
      </c>
      <c r="C46" s="45">
        <f t="shared" ref="C46:L46" si="0">$C$27</f>
        <v>480000</v>
      </c>
      <c r="D46" s="45">
        <f t="shared" si="0"/>
        <v>480000</v>
      </c>
      <c r="E46" s="45">
        <f t="shared" si="0"/>
        <v>480000</v>
      </c>
      <c r="F46" s="45">
        <f t="shared" si="0"/>
        <v>480000</v>
      </c>
      <c r="G46" s="45">
        <f t="shared" si="0"/>
        <v>480000</v>
      </c>
      <c r="H46" s="45">
        <f t="shared" si="0"/>
        <v>480000</v>
      </c>
      <c r="I46" s="45">
        <f t="shared" si="0"/>
        <v>480000</v>
      </c>
      <c r="J46" s="45">
        <f t="shared" si="0"/>
        <v>480000</v>
      </c>
      <c r="K46" s="45">
        <f t="shared" si="0"/>
        <v>480000</v>
      </c>
      <c r="L46" s="45">
        <f t="shared" si="0"/>
        <v>480000</v>
      </c>
    </row>
    <row r="47" spans="1:12" x14ac:dyDescent="0.2">
      <c r="A47" s="89"/>
      <c r="B47" s="12" t="s">
        <v>72</v>
      </c>
      <c r="C47" s="45">
        <f>C19</f>
        <v>440000</v>
      </c>
      <c r="D47" s="45">
        <f>C20</f>
        <v>630000</v>
      </c>
      <c r="E47" s="45">
        <f t="shared" ref="E47:L47" si="1">$C$21</f>
        <v>580000</v>
      </c>
      <c r="F47" s="45">
        <f t="shared" si="1"/>
        <v>580000</v>
      </c>
      <c r="G47" s="45">
        <f t="shared" si="1"/>
        <v>580000</v>
      </c>
      <c r="H47" s="45">
        <f t="shared" si="1"/>
        <v>580000</v>
      </c>
      <c r="I47" s="45">
        <f t="shared" si="1"/>
        <v>580000</v>
      </c>
      <c r="J47" s="45">
        <f t="shared" si="1"/>
        <v>580000</v>
      </c>
      <c r="K47" s="45">
        <f t="shared" si="1"/>
        <v>580000</v>
      </c>
      <c r="L47" s="45">
        <f t="shared" si="1"/>
        <v>580000</v>
      </c>
    </row>
    <row r="48" spans="1:12" x14ac:dyDescent="0.2">
      <c r="A48" s="89"/>
      <c r="B48" s="12" t="s">
        <v>73</v>
      </c>
      <c r="C48" s="45">
        <v>0</v>
      </c>
      <c r="D48" s="45">
        <f>C22</f>
        <v>1200000</v>
      </c>
      <c r="E48" s="45">
        <f>$C$23</f>
        <v>2030000</v>
      </c>
      <c r="F48" s="45">
        <f t="shared" ref="F48:L48" si="2">$C$23</f>
        <v>2030000</v>
      </c>
      <c r="G48" s="45">
        <f t="shared" si="2"/>
        <v>2030000</v>
      </c>
      <c r="H48" s="45">
        <f t="shared" si="2"/>
        <v>2030000</v>
      </c>
      <c r="I48" s="45">
        <f t="shared" si="2"/>
        <v>2030000</v>
      </c>
      <c r="J48" s="45">
        <f t="shared" si="2"/>
        <v>2030000</v>
      </c>
      <c r="K48" s="45">
        <f t="shared" si="2"/>
        <v>2030000</v>
      </c>
      <c r="L48" s="45">
        <f t="shared" si="2"/>
        <v>2030000</v>
      </c>
    </row>
    <row r="49" spans="1:13" x14ac:dyDescent="0.2">
      <c r="A49" s="89"/>
      <c r="B49" s="12" t="s">
        <v>74</v>
      </c>
      <c r="C49" s="45">
        <v>0</v>
      </c>
      <c r="D49" s="45">
        <f>C25</f>
        <v>1216000</v>
      </c>
      <c r="E49" s="45">
        <f t="shared" ref="E49:L49" si="3">$C$26</f>
        <v>1520000</v>
      </c>
      <c r="F49" s="45">
        <f t="shared" si="3"/>
        <v>1520000</v>
      </c>
      <c r="G49" s="45">
        <f t="shared" si="3"/>
        <v>1520000</v>
      </c>
      <c r="H49" s="45">
        <f t="shared" si="3"/>
        <v>1520000</v>
      </c>
      <c r="I49" s="45">
        <f t="shared" si="3"/>
        <v>1520000</v>
      </c>
      <c r="J49" s="45">
        <f t="shared" si="3"/>
        <v>1520000</v>
      </c>
      <c r="K49" s="45">
        <f t="shared" si="3"/>
        <v>1520000</v>
      </c>
      <c r="L49" s="45">
        <f t="shared" si="3"/>
        <v>1520000</v>
      </c>
    </row>
    <row r="50" spans="1:13" x14ac:dyDescent="0.2">
      <c r="A50" s="89"/>
      <c r="B50" s="2"/>
      <c r="C50" s="45"/>
      <c r="D50" s="45"/>
      <c r="E50" s="45"/>
      <c r="F50" s="45"/>
      <c r="G50" s="45"/>
      <c r="H50" s="45"/>
      <c r="I50" s="45"/>
      <c r="J50" s="45"/>
      <c r="K50" s="45"/>
      <c r="L50" s="45"/>
    </row>
    <row r="51" spans="1:13" ht="13.5" thickBot="1" x14ac:dyDescent="0.25">
      <c r="A51" s="90"/>
      <c r="B51" s="14" t="s">
        <v>75</v>
      </c>
      <c r="C51" s="46">
        <f t="shared" ref="C51:L51" si="4">SUM(C42:C50)</f>
        <v>5494800</v>
      </c>
      <c r="D51" s="46">
        <f t="shared" si="4"/>
        <v>6635000</v>
      </c>
      <c r="E51" s="46">
        <f t="shared" si="4"/>
        <v>5443800</v>
      </c>
      <c r="F51" s="46">
        <f t="shared" si="4"/>
        <v>4610000</v>
      </c>
      <c r="G51" s="46">
        <f t="shared" si="4"/>
        <v>4610000</v>
      </c>
      <c r="H51" s="46">
        <f t="shared" si="4"/>
        <v>4610000</v>
      </c>
      <c r="I51" s="46">
        <f t="shared" si="4"/>
        <v>4610000</v>
      </c>
      <c r="J51" s="46">
        <f t="shared" si="4"/>
        <v>4610000</v>
      </c>
      <c r="K51" s="46">
        <f t="shared" si="4"/>
        <v>4610000</v>
      </c>
      <c r="L51" s="46">
        <f t="shared" si="4"/>
        <v>4610000</v>
      </c>
      <c r="M51" s="9"/>
    </row>
    <row r="52" spans="1:13" ht="13.5" thickBot="1" x14ac:dyDescent="0.25">
      <c r="A52" s="7"/>
      <c r="B52" s="13"/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3" x14ac:dyDescent="0.2">
      <c r="A53" s="88" t="s">
        <v>44</v>
      </c>
      <c r="B53" s="15" t="s">
        <v>76</v>
      </c>
      <c r="C53" s="48">
        <v>0</v>
      </c>
      <c r="D53" s="48">
        <f>$C$5</f>
        <v>250000</v>
      </c>
      <c r="E53" s="48">
        <f>$C$5</f>
        <v>250000</v>
      </c>
      <c r="F53" s="48">
        <f>$C$5</f>
        <v>250000</v>
      </c>
      <c r="G53" s="48">
        <f>$C$5</f>
        <v>250000</v>
      </c>
      <c r="H53" s="48">
        <v>0</v>
      </c>
      <c r="I53" s="48">
        <v>0</v>
      </c>
      <c r="J53" s="48">
        <v>0</v>
      </c>
      <c r="K53" s="48">
        <v>0</v>
      </c>
      <c r="L53" s="49">
        <v>0</v>
      </c>
    </row>
    <row r="54" spans="1:13" x14ac:dyDescent="0.2">
      <c r="A54" s="89"/>
      <c r="B54" s="12" t="s">
        <v>77</v>
      </c>
      <c r="C54" s="45">
        <v>0</v>
      </c>
      <c r="D54" s="45">
        <f t="shared" ref="D54:L54" si="5">$C$14</f>
        <v>31712727.272727273</v>
      </c>
      <c r="E54" s="45">
        <f t="shared" si="5"/>
        <v>31712727.272727273</v>
      </c>
      <c r="F54" s="45">
        <f t="shared" si="5"/>
        <v>31712727.272727273</v>
      </c>
      <c r="G54" s="45">
        <f t="shared" si="5"/>
        <v>31712727.272727273</v>
      </c>
      <c r="H54" s="45">
        <f t="shared" si="5"/>
        <v>31712727.272727273</v>
      </c>
      <c r="I54" s="45">
        <f t="shared" si="5"/>
        <v>31712727.272727273</v>
      </c>
      <c r="J54" s="45">
        <f t="shared" si="5"/>
        <v>31712727.272727273</v>
      </c>
      <c r="K54" s="45">
        <f t="shared" si="5"/>
        <v>31712727.272727273</v>
      </c>
      <c r="L54" s="50">
        <f t="shared" si="5"/>
        <v>31712727.272727273</v>
      </c>
    </row>
    <row r="55" spans="1:13" x14ac:dyDescent="0.2">
      <c r="A55" s="89"/>
      <c r="B55" s="2"/>
      <c r="C55" s="45"/>
      <c r="D55" s="45"/>
      <c r="E55" s="45"/>
      <c r="F55" s="45"/>
      <c r="G55" s="45"/>
      <c r="H55" s="45"/>
      <c r="I55" s="45"/>
      <c r="J55" s="45"/>
      <c r="K55" s="45"/>
      <c r="L55" s="50"/>
    </row>
    <row r="56" spans="1:13" ht="13.5" thickBot="1" x14ac:dyDescent="0.25">
      <c r="A56" s="89"/>
      <c r="B56" s="57" t="s">
        <v>75</v>
      </c>
      <c r="C56" s="58">
        <f t="shared" ref="C56:L56" si="6">SUM(C53:C55)</f>
        <v>0</v>
      </c>
      <c r="D56" s="58">
        <f t="shared" si="6"/>
        <v>31962727.272727273</v>
      </c>
      <c r="E56" s="58">
        <f t="shared" si="6"/>
        <v>31962727.272727273</v>
      </c>
      <c r="F56" s="58">
        <f t="shared" si="6"/>
        <v>31962727.272727273</v>
      </c>
      <c r="G56" s="58">
        <f t="shared" si="6"/>
        <v>31962727.272727273</v>
      </c>
      <c r="H56" s="58">
        <f t="shared" si="6"/>
        <v>31712727.272727273</v>
      </c>
      <c r="I56" s="58">
        <f t="shared" si="6"/>
        <v>31712727.272727273</v>
      </c>
      <c r="J56" s="58">
        <f t="shared" si="6"/>
        <v>31712727.272727273</v>
      </c>
      <c r="K56" s="58">
        <f t="shared" si="6"/>
        <v>31712727.272727273</v>
      </c>
      <c r="L56" s="71">
        <f t="shared" si="6"/>
        <v>31712727.272727273</v>
      </c>
    </row>
    <row r="57" spans="1:13" x14ac:dyDescent="0.2">
      <c r="A57" s="89"/>
      <c r="B57" s="12" t="s">
        <v>94</v>
      </c>
      <c r="C57" s="4"/>
      <c r="D57" s="4">
        <f>C16</f>
        <v>0.5</v>
      </c>
      <c r="E57" s="4">
        <f>C17</f>
        <v>0.8</v>
      </c>
      <c r="F57" s="4">
        <f t="shared" ref="F57:L57" si="7">$C$18</f>
        <v>1</v>
      </c>
      <c r="G57" s="4">
        <f t="shared" si="7"/>
        <v>1</v>
      </c>
      <c r="H57" s="4">
        <f t="shared" si="7"/>
        <v>1</v>
      </c>
      <c r="I57" s="4">
        <f t="shared" si="7"/>
        <v>1</v>
      </c>
      <c r="J57" s="4">
        <f t="shared" si="7"/>
        <v>1</v>
      </c>
      <c r="K57" s="4">
        <f t="shared" si="7"/>
        <v>1</v>
      </c>
      <c r="L57" s="72">
        <f t="shared" si="7"/>
        <v>1</v>
      </c>
    </row>
    <row r="58" spans="1:13" ht="13.5" thickBot="1" x14ac:dyDescent="0.25">
      <c r="A58" s="90"/>
      <c r="B58" s="14" t="s">
        <v>95</v>
      </c>
      <c r="C58" s="46">
        <f>SUM(C53:C57)</f>
        <v>0</v>
      </c>
      <c r="D58" s="46">
        <f t="shared" ref="D58:L58" si="8">D56*D57</f>
        <v>15981363.636363637</v>
      </c>
      <c r="E58" s="46">
        <f t="shared" si="8"/>
        <v>25570181.81818182</v>
      </c>
      <c r="F58" s="46">
        <f t="shared" si="8"/>
        <v>31962727.272727273</v>
      </c>
      <c r="G58" s="46">
        <f t="shared" si="8"/>
        <v>31962727.272727273</v>
      </c>
      <c r="H58" s="46">
        <f t="shared" si="8"/>
        <v>31712727.272727273</v>
      </c>
      <c r="I58" s="46">
        <f t="shared" si="8"/>
        <v>31712727.272727273</v>
      </c>
      <c r="J58" s="46">
        <f t="shared" si="8"/>
        <v>31712727.272727273</v>
      </c>
      <c r="K58" s="46">
        <f t="shared" si="8"/>
        <v>31712727.272727273</v>
      </c>
      <c r="L58" s="51">
        <f t="shared" si="8"/>
        <v>31712727.272727273</v>
      </c>
      <c r="M58" s="9"/>
    </row>
    <row r="59" spans="1:13" x14ac:dyDescent="0.2">
      <c r="A59" s="39"/>
      <c r="B59" s="40"/>
      <c r="C59" s="47"/>
      <c r="D59" s="47"/>
      <c r="E59" s="47"/>
      <c r="F59" s="47"/>
      <c r="G59" s="47"/>
      <c r="H59" s="47"/>
      <c r="I59" s="47"/>
      <c r="J59" s="47"/>
      <c r="K59" s="47"/>
      <c r="L59" s="52"/>
    </row>
    <row r="60" spans="1:13" ht="13.5" thickBot="1" x14ac:dyDescent="0.25">
      <c r="A60" s="39"/>
      <c r="B60" s="53" t="s">
        <v>83</v>
      </c>
      <c r="C60" s="54">
        <v>0</v>
      </c>
      <c r="D60" s="54">
        <v>1</v>
      </c>
      <c r="E60" s="54">
        <v>2</v>
      </c>
      <c r="F60" s="54">
        <v>3</v>
      </c>
      <c r="G60" s="54">
        <v>4</v>
      </c>
      <c r="H60" s="54">
        <v>5</v>
      </c>
      <c r="I60" s="54">
        <v>6</v>
      </c>
      <c r="J60" s="54">
        <v>7</v>
      </c>
      <c r="K60" s="54">
        <v>8</v>
      </c>
      <c r="L60" s="54">
        <v>9</v>
      </c>
    </row>
    <row r="61" spans="1:13" s="76" customFormat="1" ht="15" customHeight="1" x14ac:dyDescent="0.2">
      <c r="A61" s="94" t="s">
        <v>0</v>
      </c>
      <c r="B61" s="73" t="s">
        <v>79</v>
      </c>
      <c r="C61" s="74">
        <f t="shared" ref="C61:L61" si="9">-C51</f>
        <v>-5494800</v>
      </c>
      <c r="D61" s="74">
        <f t="shared" si="9"/>
        <v>-6635000</v>
      </c>
      <c r="E61" s="74">
        <f t="shared" si="9"/>
        <v>-5443800</v>
      </c>
      <c r="F61" s="74">
        <f t="shared" si="9"/>
        <v>-4610000</v>
      </c>
      <c r="G61" s="74">
        <f t="shared" si="9"/>
        <v>-4610000</v>
      </c>
      <c r="H61" s="74">
        <f t="shared" si="9"/>
        <v>-4610000</v>
      </c>
      <c r="I61" s="74">
        <f t="shared" si="9"/>
        <v>-4610000</v>
      </c>
      <c r="J61" s="74">
        <f t="shared" si="9"/>
        <v>-4610000</v>
      </c>
      <c r="K61" s="74">
        <f t="shared" si="9"/>
        <v>-4610000</v>
      </c>
      <c r="L61" s="75">
        <f t="shared" si="9"/>
        <v>-4610000</v>
      </c>
    </row>
    <row r="62" spans="1:13" s="76" customFormat="1" ht="15" customHeight="1" x14ac:dyDescent="0.2">
      <c r="A62" s="95"/>
      <c r="B62" s="77" t="s">
        <v>80</v>
      </c>
      <c r="C62" s="78">
        <f t="shared" ref="C62:L62" si="10">C58</f>
        <v>0</v>
      </c>
      <c r="D62" s="78">
        <f t="shared" si="10"/>
        <v>15981363.636363637</v>
      </c>
      <c r="E62" s="78">
        <f t="shared" si="10"/>
        <v>25570181.81818182</v>
      </c>
      <c r="F62" s="78">
        <f t="shared" si="10"/>
        <v>31962727.272727273</v>
      </c>
      <c r="G62" s="78">
        <f t="shared" si="10"/>
        <v>31962727.272727273</v>
      </c>
      <c r="H62" s="78">
        <f t="shared" si="10"/>
        <v>31712727.272727273</v>
      </c>
      <c r="I62" s="78">
        <f t="shared" si="10"/>
        <v>31712727.272727273</v>
      </c>
      <c r="J62" s="78">
        <f t="shared" si="10"/>
        <v>31712727.272727273</v>
      </c>
      <c r="K62" s="78">
        <f t="shared" si="10"/>
        <v>31712727.272727273</v>
      </c>
      <c r="L62" s="79">
        <f t="shared" si="10"/>
        <v>31712727.272727273</v>
      </c>
      <c r="M62" s="80"/>
    </row>
    <row r="63" spans="1:13" s="76" customFormat="1" ht="15" customHeight="1" thickBot="1" x14ac:dyDescent="0.25">
      <c r="A63" s="95"/>
      <c r="B63" s="77" t="s">
        <v>81</v>
      </c>
      <c r="C63" s="78">
        <f t="shared" ref="C63:L63" si="11">SUM(C61:C62)</f>
        <v>-5494800</v>
      </c>
      <c r="D63" s="78">
        <f t="shared" si="11"/>
        <v>9346363.6363636367</v>
      </c>
      <c r="E63" s="78">
        <f t="shared" si="11"/>
        <v>20126381.81818182</v>
      </c>
      <c r="F63" s="78">
        <f t="shared" si="11"/>
        <v>27352727.272727273</v>
      </c>
      <c r="G63" s="78">
        <f t="shared" si="11"/>
        <v>27352727.272727273</v>
      </c>
      <c r="H63" s="78">
        <f t="shared" si="11"/>
        <v>27102727.272727273</v>
      </c>
      <c r="I63" s="78">
        <f t="shared" si="11"/>
        <v>27102727.272727273</v>
      </c>
      <c r="J63" s="78">
        <f t="shared" si="11"/>
        <v>27102727.272727273</v>
      </c>
      <c r="K63" s="78">
        <f t="shared" si="11"/>
        <v>27102727.272727273</v>
      </c>
      <c r="L63" s="79">
        <f t="shared" si="11"/>
        <v>27102727.272727273</v>
      </c>
    </row>
    <row r="64" spans="1:13" s="84" customFormat="1" ht="18" customHeight="1" thickBot="1" x14ac:dyDescent="0.25">
      <c r="A64" s="96"/>
      <c r="B64" s="81" t="s">
        <v>82</v>
      </c>
      <c r="C64" s="82">
        <f>C63/(1+$C$15)^C60</f>
        <v>-5494800</v>
      </c>
      <c r="D64" s="82">
        <f>D63/(1+$C$15)^D60</f>
        <v>8271118.2622687062</v>
      </c>
      <c r="E64" s="82">
        <f>E63/(1+$C$15)^E60</f>
        <v>15761909.169223765</v>
      </c>
      <c r="F64" s="82">
        <f>F63/(1+$C$15)^F60</f>
        <v>18956812.075101193</v>
      </c>
      <c r="G64" s="82">
        <f>G63/(1+$C$15)^G60</f>
        <v>16775939.889470082</v>
      </c>
      <c r="H64" s="82">
        <f>H63/(1+$C$15)^H60</f>
        <v>14710274.519955965</v>
      </c>
      <c r="I64" s="82">
        <f>I63/(1+$C$15)^I60</f>
        <v>13017942.053058378</v>
      </c>
      <c r="J64" s="82">
        <f>J63/(1+$C$15)^J60</f>
        <v>11520302.701821575</v>
      </c>
      <c r="K64" s="82">
        <f>K63/(1+$C$15)^K60</f>
        <v>10194958.143204933</v>
      </c>
      <c r="L64" s="83">
        <f>L63/(1+$C$15)^L60</f>
        <v>9022086.8523937482</v>
      </c>
      <c r="M64" s="85">
        <f>SUM(C64:L64)</f>
        <v>112736543.66649835</v>
      </c>
    </row>
    <row r="65" spans="2:12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</row>
    <row r="66" spans="2:12" x14ac:dyDescent="0.2">
      <c r="B66" s="1" t="s">
        <v>98</v>
      </c>
      <c r="C66" s="41"/>
      <c r="D66" s="41">
        <f>C64+D64</f>
        <v>2776318.2622687062</v>
      </c>
      <c r="E66" s="41">
        <f>D66+E64</f>
        <v>18538227.43149247</v>
      </c>
      <c r="F66" s="41">
        <f>E66+F64</f>
        <v>37495039.50659366</v>
      </c>
      <c r="G66" s="41">
        <f>F66+G64</f>
        <v>54270979.396063745</v>
      </c>
      <c r="H66" s="41">
        <f>G66+H64</f>
        <v>68981253.916019708</v>
      </c>
      <c r="I66" s="41">
        <f>H66+I64</f>
        <v>81999195.969078094</v>
      </c>
      <c r="J66" s="41">
        <f>I66+J64</f>
        <v>93519498.670899674</v>
      </c>
      <c r="K66" s="41">
        <f>J66+K64</f>
        <v>103714456.8141046</v>
      </c>
      <c r="L66" s="41">
        <f>K66+L64</f>
        <v>112736543.66649835</v>
      </c>
    </row>
    <row r="67" spans="2:12" x14ac:dyDescent="0.2">
      <c r="B67" s="99" t="s">
        <v>99</v>
      </c>
      <c r="C67" s="100"/>
      <c r="D67" s="100"/>
      <c r="E67" s="41"/>
      <c r="F67" s="41"/>
      <c r="G67" s="41"/>
      <c r="H67" s="41"/>
      <c r="I67" s="41"/>
      <c r="J67" s="41"/>
      <c r="K67" s="41"/>
      <c r="L67" s="41"/>
    </row>
    <row r="68" spans="2:12" x14ac:dyDescent="0.2">
      <c r="C68" s="41"/>
      <c r="D68" s="41"/>
      <c r="E68" s="41"/>
      <c r="F68" s="41"/>
      <c r="G68" s="41"/>
      <c r="H68" s="41"/>
      <c r="I68" s="41"/>
      <c r="J68" s="41"/>
      <c r="K68" s="41"/>
      <c r="L68" s="41"/>
    </row>
    <row r="69" spans="2:12" x14ac:dyDescent="0.2">
      <c r="C69" s="41"/>
      <c r="D69" s="41"/>
      <c r="E69" s="41"/>
      <c r="F69" s="41"/>
      <c r="G69" s="41"/>
      <c r="H69" s="41"/>
      <c r="I69" s="41"/>
      <c r="J69" s="41"/>
      <c r="K69" s="41"/>
      <c r="L69" s="41"/>
    </row>
    <row r="70" spans="2:12" x14ac:dyDescent="0.2"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2:12" x14ac:dyDescent="0.2"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2:12" x14ac:dyDescent="0.2">
      <c r="C72" s="41"/>
      <c r="D72" s="41"/>
      <c r="E72" s="41"/>
      <c r="F72" s="41"/>
      <c r="G72" s="41"/>
      <c r="H72" s="41"/>
      <c r="I72" s="41"/>
      <c r="J72" s="41"/>
      <c r="K72" s="41"/>
      <c r="L72" s="41"/>
    </row>
    <row r="73" spans="2:12" x14ac:dyDescent="0.2">
      <c r="C73" s="41"/>
      <c r="D73" s="41"/>
      <c r="E73" s="41"/>
      <c r="F73" s="41"/>
      <c r="G73" s="41"/>
      <c r="H73" s="41"/>
      <c r="I73" s="41"/>
      <c r="J73" s="41"/>
      <c r="K73" s="41"/>
      <c r="L73" s="41"/>
    </row>
    <row r="74" spans="2:12" x14ac:dyDescent="0.2">
      <c r="C74" s="41"/>
      <c r="D74" s="41"/>
      <c r="E74" s="41"/>
      <c r="F74" s="41"/>
      <c r="G74" s="41"/>
      <c r="H74" s="41"/>
      <c r="I74" s="41"/>
      <c r="J74" s="41"/>
      <c r="K74" s="41"/>
      <c r="L74" s="41"/>
    </row>
    <row r="75" spans="2:12" x14ac:dyDescent="0.2">
      <c r="C75" s="41"/>
      <c r="D75" s="41"/>
      <c r="E75" s="41"/>
      <c r="F75" s="41"/>
      <c r="G75" s="41"/>
      <c r="H75" s="41"/>
      <c r="I75" s="41"/>
      <c r="J75" s="41"/>
      <c r="K75" s="41"/>
      <c r="L75" s="41"/>
    </row>
    <row r="76" spans="2:12" x14ac:dyDescent="0.2">
      <c r="C76" s="41"/>
      <c r="D76" s="41"/>
      <c r="E76" s="41"/>
      <c r="F76" s="41"/>
      <c r="G76" s="41"/>
      <c r="H76" s="41"/>
      <c r="I76" s="41"/>
      <c r="J76" s="41"/>
      <c r="K76" s="41"/>
      <c r="L76" s="41"/>
    </row>
    <row r="77" spans="2:12" x14ac:dyDescent="0.2">
      <c r="C77" s="41"/>
      <c r="D77" s="41"/>
      <c r="E77" s="41"/>
      <c r="F77" s="41"/>
      <c r="G77" s="41"/>
      <c r="H77" s="41"/>
      <c r="I77" s="41"/>
      <c r="J77" s="41"/>
      <c r="K77" s="41"/>
      <c r="L77" s="41"/>
    </row>
    <row r="78" spans="2:12" x14ac:dyDescent="0.2">
      <c r="C78" s="41"/>
      <c r="D78" s="41"/>
      <c r="E78" s="41"/>
      <c r="F78" s="41"/>
      <c r="G78" s="41"/>
      <c r="H78" s="41"/>
      <c r="I78" s="41"/>
      <c r="J78" s="41"/>
      <c r="K78" s="41"/>
      <c r="L78" s="41"/>
    </row>
    <row r="79" spans="2:12" x14ac:dyDescent="0.2">
      <c r="C79" s="41"/>
      <c r="D79" s="41"/>
      <c r="E79" s="41"/>
      <c r="F79" s="41"/>
      <c r="G79" s="41"/>
      <c r="H79" s="41"/>
      <c r="I79" s="41"/>
      <c r="J79" s="41"/>
      <c r="K79" s="41"/>
      <c r="L79" s="41"/>
    </row>
  </sheetData>
  <mergeCells count="4">
    <mergeCell ref="A42:A51"/>
    <mergeCell ref="A53:A58"/>
    <mergeCell ref="A1:A39"/>
    <mergeCell ref="A61:A64"/>
  </mergeCells>
  <phoneticPr fontId="0" type="noConversion"/>
  <pageMargins left="0.78740157499999996" right="0.78740157499999996" top="0.984251969" bottom="0.984251969" header="0.4921259845" footer="0.4921259845"/>
  <pageSetup paperSize="9" scale="7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145" zoomScaleNormal="145" workbookViewId="0">
      <selection activeCell="B14" sqref="B14"/>
    </sheetView>
  </sheetViews>
  <sheetFormatPr baseColWidth="10" defaultRowHeight="12.75" x14ac:dyDescent="0.2"/>
  <cols>
    <col min="1" max="1" width="32.7109375" bestFit="1" customWidth="1"/>
  </cols>
  <sheetData>
    <row r="1" spans="1:4" x14ac:dyDescent="0.2">
      <c r="A1" s="10" t="s">
        <v>84</v>
      </c>
    </row>
    <row r="3" spans="1:4" x14ac:dyDescent="0.2">
      <c r="A3" s="29" t="s">
        <v>23</v>
      </c>
      <c r="B3" s="17">
        <f>'AlpineRe-BC quantitativ'!C6</f>
        <v>1500</v>
      </c>
    </row>
    <row r="4" spans="1:4" x14ac:dyDescent="0.2">
      <c r="A4" s="18" t="s">
        <v>25</v>
      </c>
      <c r="B4" s="17">
        <f>'AlpineRe-BC quantitativ'!C7</f>
        <v>10</v>
      </c>
    </row>
    <row r="5" spans="1:4" x14ac:dyDescent="0.2">
      <c r="A5" s="20" t="s">
        <v>27</v>
      </c>
      <c r="B5" s="17">
        <f>'AlpineRe-BC quantitativ'!C8</f>
        <v>8</v>
      </c>
    </row>
    <row r="6" spans="1:4" x14ac:dyDescent="0.2">
      <c r="A6" s="20" t="s">
        <v>29</v>
      </c>
      <c r="B6" s="17">
        <f>'AlpineRe-BC quantitativ'!C9</f>
        <v>220</v>
      </c>
    </row>
    <row r="7" spans="1:4" x14ac:dyDescent="0.2">
      <c r="A7" s="20" t="s">
        <v>31</v>
      </c>
      <c r="B7" s="17">
        <f>'AlpineRe-BC quantitativ'!C10</f>
        <v>3</v>
      </c>
    </row>
    <row r="8" spans="1:4" x14ac:dyDescent="0.2">
      <c r="A8" s="20" t="s">
        <v>33</v>
      </c>
      <c r="B8" s="17">
        <f>'AlpineRe-BC quantitativ'!C11</f>
        <v>400</v>
      </c>
    </row>
    <row r="9" spans="1:4" x14ac:dyDescent="0.2">
      <c r="A9" s="18" t="s">
        <v>37</v>
      </c>
      <c r="B9" s="37">
        <f>'AlpineRe-BC quantitativ'!C12</f>
        <v>0.18</v>
      </c>
    </row>
    <row r="10" spans="1:4" x14ac:dyDescent="0.2">
      <c r="A10" s="18" t="s">
        <v>36</v>
      </c>
      <c r="B10" s="17">
        <f>'AlpineRe-BC quantitativ'!C13</f>
        <v>4800000</v>
      </c>
    </row>
    <row r="12" spans="1:4" x14ac:dyDescent="0.2">
      <c r="A12" s="55" t="s">
        <v>85</v>
      </c>
      <c r="B12" s="9">
        <f>B3*B4</f>
        <v>15000</v>
      </c>
      <c r="C12" s="10" t="s">
        <v>86</v>
      </c>
    </row>
    <row r="13" spans="1:4" x14ac:dyDescent="0.2">
      <c r="A13" s="55" t="s">
        <v>87</v>
      </c>
      <c r="B13" s="9">
        <f>B12*B6</f>
        <v>3300000</v>
      </c>
      <c r="C13" s="10" t="s">
        <v>86</v>
      </c>
      <c r="D13" s="10" t="s">
        <v>89</v>
      </c>
    </row>
    <row r="14" spans="1:4" x14ac:dyDescent="0.2">
      <c r="A14" s="55" t="s">
        <v>88</v>
      </c>
      <c r="B14" s="9">
        <f>B8*B7*B5*60</f>
        <v>576000</v>
      </c>
      <c r="C14" s="10" t="s">
        <v>86</v>
      </c>
      <c r="D14" s="10" t="s">
        <v>89</v>
      </c>
    </row>
    <row r="15" spans="1:4" x14ac:dyDescent="0.2">
      <c r="A15" s="55" t="s">
        <v>90</v>
      </c>
      <c r="B15" s="9">
        <f>B13+B14</f>
        <v>3876000</v>
      </c>
    </row>
    <row r="16" spans="1:4" x14ac:dyDescent="0.2">
      <c r="B16" s="9"/>
    </row>
    <row r="17" spans="1:3" x14ac:dyDescent="0.2">
      <c r="A17" s="55" t="s">
        <v>91</v>
      </c>
      <c r="B17" s="9">
        <f>B15/(60*B5*B6)</f>
        <v>36.704545454545453</v>
      </c>
    </row>
    <row r="18" spans="1:3" x14ac:dyDescent="0.2">
      <c r="A18" s="55" t="s">
        <v>92</v>
      </c>
      <c r="B18" s="9">
        <f>B17*B10</f>
        <v>176181818.18181819</v>
      </c>
      <c r="C18" s="10" t="s">
        <v>49</v>
      </c>
    </row>
    <row r="19" spans="1:3" x14ac:dyDescent="0.2">
      <c r="A19" s="55" t="s">
        <v>93</v>
      </c>
      <c r="B19" s="56">
        <f>B18*B9</f>
        <v>31712727.272727273</v>
      </c>
      <c r="C19" s="10" t="s">
        <v>49</v>
      </c>
    </row>
    <row r="24" spans="1:3" x14ac:dyDescent="0.2">
      <c r="B24" s="9">
        <v>31712727.272727273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AlpineRe-BC qualitativ</vt:lpstr>
      <vt:lpstr>AlpineRe-BC quantitativ</vt:lpstr>
      <vt:lpstr>Nutzen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Felix Rohrer</cp:lastModifiedBy>
  <cp:lastPrinted>2008-10-17T07:49:04Z</cp:lastPrinted>
  <dcterms:created xsi:type="dcterms:W3CDTF">1996-10-17T05:27:31Z</dcterms:created>
  <dcterms:modified xsi:type="dcterms:W3CDTF">2014-05-23T15:30:46Z</dcterms:modified>
</cp:coreProperties>
</file>